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activeTab="0"/>
  </bookViews>
  <sheets>
    <sheet name="UMF" sheetId="1" r:id="rId1"/>
    <sheet name="Sheet1" sheetId="2" r:id="rId2"/>
  </sheets>
  <externalReferences>
    <externalReference r:id="rId5"/>
  </externalReference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<sst xmlns="http://schemas.openxmlformats.org/spreadsheetml/2006/main" count="110" uniqueCount="51">
  <si>
    <t>MINIMUM FLUIDIZATION VELOCITY CALCULATIONS</t>
  </si>
  <si>
    <t>--------</t>
  </si>
  <si>
    <t>--</t>
  </si>
  <si>
    <t>1. GAS</t>
  </si>
  <si>
    <t>AIR</t>
  </si>
  <si>
    <t/>
  </si>
  <si>
    <t>PARTICLE</t>
  </si>
  <si>
    <t xml:space="preserve"> DATA</t>
  </si>
  <si>
    <t xml:space="preserve">T </t>
  </si>
  <si>
    <t>(K)</t>
  </si>
  <si>
    <t>DP (cm)</t>
  </si>
  <si>
    <t xml:space="preserve">P </t>
  </si>
  <si>
    <t>(atm)</t>
  </si>
  <si>
    <t>RP(g/cc)</t>
  </si>
  <si>
    <t xml:space="preserve">RG  </t>
  </si>
  <si>
    <t>(g/cc)</t>
  </si>
  <si>
    <t xml:space="preserve">Ar </t>
  </si>
  <si>
    <t>-Sq(ar)</t>
  </si>
  <si>
    <t>MU (g</t>
  </si>
  <si>
    <t>/cm s)</t>
  </si>
  <si>
    <t>VOID FR</t>
  </si>
  <si>
    <t xml:space="preserve"> </t>
  </si>
  <si>
    <t>cm/s</t>
  </si>
  <si>
    <t xml:space="preserve">A </t>
  </si>
  <si>
    <t xml:space="preserve">a1 </t>
  </si>
  <si>
    <t xml:space="preserve">B </t>
  </si>
  <si>
    <t xml:space="preserve">b1 </t>
  </si>
  <si>
    <t xml:space="preserve">Re </t>
  </si>
  <si>
    <t xml:space="preserve">Res </t>
  </si>
  <si>
    <t xml:space="preserve">Ur </t>
  </si>
  <si>
    <t xml:space="preserve"> cm/s</t>
  </si>
  <si>
    <t>A &amp; B:</t>
  </si>
  <si>
    <t>WATER</t>
  </si>
  <si>
    <t>Ar</t>
  </si>
  <si>
    <t>Sq(ar)</t>
  </si>
  <si>
    <t>Syamlal et al. 1993</t>
  </si>
  <si>
    <t>Ergun</t>
  </si>
  <si>
    <t xml:space="preserve">Wen and Yu </t>
  </si>
  <si>
    <t>Khan &amp; Richardson 1987</t>
  </si>
  <si>
    <t>Uterminal =</t>
  </si>
  <si>
    <t>Umf=</t>
  </si>
  <si>
    <t>2. LIQUID</t>
  </si>
  <si>
    <t>c1</t>
  </si>
  <si>
    <t>d1</t>
  </si>
  <si>
    <t>Experimental</t>
  </si>
  <si>
    <t>Umf diff =</t>
  </si>
  <si>
    <t>dep</t>
  </si>
  <si>
    <t>ep</t>
  </si>
  <si>
    <t>Borginal</t>
  </si>
  <si>
    <t>Bmod</t>
  </si>
  <si>
    <t>ratio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</si>
</sst>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  <numFmt numFmtId="167" formatCode="0.000_)"/>
    <numFmt numFmtId="168" formatCode="0.0E+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0"/>
      <name val="Courier"/>
      <family val="0"/>
    </font>
    <font>
      <sz val="10"/>
      <color indexed="6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right"/>
      <protection/>
    </xf>
    <xf numFmtId="165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 applyProtection="1">
      <alignment/>
      <protection/>
    </xf>
    <xf numFmtId="164" fontId="0" fillId="0" borderId="0" xfId="0" applyFill="1" applyAlignment="1">
      <alignment horizontal="right"/>
    </xf>
    <xf numFmtId="164" fontId="7" fillId="0" borderId="0" xfId="0" applyFont="1" applyFill="1" applyAlignment="1" applyProtection="1">
      <alignment horizontal="right"/>
      <protection/>
    </xf>
    <xf numFmtId="164" fontId="7" fillId="0" borderId="0" xfId="0" applyFont="1" applyAlignment="1" applyProtection="1">
      <alignment horizontal="right"/>
      <protection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Sheet1!$B$11:$B$41</c:f>
              <c:numCache/>
            </c:numRef>
          </c:xVal>
          <c:yVal>
            <c:numRef>
              <c:f>Sheet1!$E$11:$E$41</c:f>
              <c:numCache/>
            </c:numRef>
          </c:yVal>
          <c:smooth val="1"/>
        </c:ser>
        <c:axId val="17827290"/>
        <c:axId val="26227883"/>
      </c:scatterChart>
      <c:valAx>
        <c:axId val="17827290"/>
        <c:scaling>
          <c:orientation val="minMax"/>
          <c:max val="1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Void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7883"/>
        <c:crosses val="autoZero"/>
        <c:crossBetween val="midCat"/>
        <c:dispUnits/>
      </c:valAx>
      <c:valAx>
        <c:axId val="26227883"/>
        <c:scaling>
          <c:orientation val="minMax"/>
          <c:max val="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Bmod/Boriginal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27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3575"/>
          <c:w val="0.88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original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Sheet1!$B$11:$B$41</c:f>
              <c:numCache/>
            </c:numRef>
          </c:xVal>
          <c:yVal>
            <c:numRef>
              <c:f>Sheet1!$C$11:$C$41</c:f>
              <c:numCache/>
            </c:numRef>
          </c:yVal>
          <c:smooth val="0"/>
        </c:ser>
        <c:ser>
          <c:idx val="1"/>
          <c:order val="1"/>
          <c:tx>
            <c:v>modified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Sheet1!$B$11:$B$41</c:f>
              <c:numCache/>
            </c:numRef>
          </c:xVal>
          <c:yVal>
            <c:numRef>
              <c:f>Sheet1!$D$11:$D$41</c:f>
              <c:numCache/>
            </c:numRef>
          </c:yVal>
          <c:smooth val="0"/>
        </c:ser>
        <c:axId val="34724356"/>
        <c:axId val="44083749"/>
      </c:scatterChart>
      <c:valAx>
        <c:axId val="34724356"/>
        <c:scaling>
          <c:orientation val="minMax"/>
          <c:max val="1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Void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 val="autoZero"/>
        <c:crossBetween val="midCat"/>
        <c:dispUnits/>
      </c:valAx>
      <c:valAx>
        <c:axId val="4408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B(ep)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"/>
          <c:y val="0.5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133350</xdr:rowOff>
    </xdr:from>
    <xdr:to>
      <xdr:col>13</xdr:col>
      <xdr:colOff>19050</xdr:colOff>
      <xdr:row>10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57875" y="133350"/>
          <a:ext cx="320040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Input in shown in </a:t>
          </a:r>
          <a:r>
            <a:rPr lang="en-US" cap="none" sz="1000" b="0" i="0" u="none" baseline="0">
              <a:solidFill>
                <a:srgbClr val="0000FF"/>
              </a:solidFill>
              <a:latin typeface="Courier"/>
              <a:ea typeface="Courier"/>
              <a:cs typeface="Courier"/>
            </a:rPr>
            <a:t>blue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, and output is shown in </a:t>
          </a:r>
          <a:r>
            <a:rPr lang="en-US" cap="none" sz="1000" b="0" i="0" u="none" baseline="0">
              <a:solidFill>
                <a:srgbClr val="FF0000"/>
              </a:solidFill>
              <a:latin typeface="Courier"/>
              <a:ea typeface="Courier"/>
              <a:cs typeface="Courier"/>
            </a:rPr>
            <a:t>red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.
To match theoretical and exp Umf first ensure that </a:t>
          </a:r>
          <a:r>
            <a:rPr lang="en-US" cap="none" sz="1000" b="0" i="0" u="none" baseline="0">
              <a:solidFill>
                <a:srgbClr val="993300"/>
              </a:solidFill>
              <a:latin typeface="Courier"/>
              <a:ea typeface="Courier"/>
              <a:cs typeface="Courier"/>
            </a:rPr>
            <a:t>DP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and </a:t>
          </a:r>
          <a:r>
            <a:rPr lang="en-US" cap="none" sz="1000" b="0" i="0" u="none" baseline="0">
              <a:solidFill>
                <a:srgbClr val="993300"/>
              </a:solidFill>
              <a:latin typeface="Courier"/>
              <a:ea typeface="Courier"/>
              <a:cs typeface="Courier"/>
            </a:rPr>
            <a:t>Void fr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are correct.  Then adjust </a:t>
          </a:r>
          <a:r>
            <a:rPr lang="en-US" cap="none" sz="1000" b="0" i="0" u="none" baseline="0">
              <a:solidFill>
                <a:srgbClr val="993300"/>
              </a:solidFill>
              <a:latin typeface="Courier"/>
              <a:ea typeface="Courier"/>
              <a:cs typeface="Courier"/>
            </a:rPr>
            <a:t>c1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with "goal seek" to drive </a:t>
          </a:r>
          <a:r>
            <a:rPr lang="en-US" cap="none" sz="1000" b="0" i="0" u="none" baseline="0">
              <a:solidFill>
                <a:srgbClr val="993300"/>
              </a:solidFill>
              <a:latin typeface="Courier"/>
              <a:ea typeface="Courier"/>
              <a:cs typeface="Courier"/>
            </a:rPr>
            <a:t>Umf diff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to zero (or use Control-D for a macro to do this).  Use c1 and d1 in drag_gs.f (MFIX).</a:t>
          </a:r>
        </a:p>
      </xdr:txBody>
    </xdr:sp>
    <xdr:clientData/>
  </xdr:twoCellAnchor>
  <xdr:twoCellAnchor>
    <xdr:from>
      <xdr:col>0</xdr:col>
      <xdr:colOff>19050</xdr:colOff>
      <xdr:row>23</xdr:row>
      <xdr:rowOff>85725</xdr:rowOff>
    </xdr:from>
    <xdr:to>
      <xdr:col>11</xdr:col>
      <xdr:colOff>247650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19050" y="3638550"/>
          <a:ext cx="77057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6</xdr:row>
      <xdr:rowOff>152400</xdr:rowOff>
    </xdr:from>
    <xdr:to>
      <xdr:col>12</xdr:col>
      <xdr:colOff>504825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105275" y="1123950"/>
        <a:ext cx="46291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95250</xdr:rowOff>
    </xdr:from>
    <xdr:to>
      <xdr:col>12</xdr:col>
      <xdr:colOff>514350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4114800" y="3829050"/>
        <a:ext cx="46291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LOTUS\UM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F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J43"/>
  <sheetViews>
    <sheetView showGridLines="0" tabSelected="1" workbookViewId="0" topLeftCell="A1">
      <selection activeCell="H12" sqref="H12"/>
    </sheetView>
  </sheetViews>
  <sheetFormatPr defaultColWidth="9.625" defaultRowHeight="12.75"/>
  <cols>
    <col min="1" max="9" width="8.625" style="0" customWidth="1"/>
    <col min="10" max="16384" width="10.25390625" style="0" customWidth="1"/>
  </cols>
  <sheetData>
    <row r="1" ht="12">
      <c r="D1" s="1" t="s">
        <v>0</v>
      </c>
    </row>
    <row r="2" spans="4:9" ht="12"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2</v>
      </c>
    </row>
    <row r="4" spans="1:8" ht="12">
      <c r="A4" s="2" t="s">
        <v>3</v>
      </c>
      <c r="C4" s="2" t="s">
        <v>4</v>
      </c>
      <c r="D4" s="2" t="s">
        <v>5</v>
      </c>
      <c r="G4" s="2" t="s">
        <v>6</v>
      </c>
      <c r="H4" s="1" t="s">
        <v>7</v>
      </c>
    </row>
    <row r="6" spans="2:8" ht="12">
      <c r="B6" s="2" t="s">
        <v>8</v>
      </c>
      <c r="C6" s="1" t="s">
        <v>9</v>
      </c>
      <c r="D6" s="3">
        <v>293</v>
      </c>
      <c r="G6" s="19" t="s">
        <v>10</v>
      </c>
      <c r="H6" s="4">
        <v>0.05</v>
      </c>
    </row>
    <row r="8" spans="2:8" ht="12">
      <c r="B8" s="2" t="s">
        <v>11</v>
      </c>
      <c r="C8" s="1" t="s">
        <v>12</v>
      </c>
      <c r="D8" s="3">
        <v>1</v>
      </c>
      <c r="G8" s="2" t="s">
        <v>13</v>
      </c>
      <c r="H8" s="5">
        <v>2.4</v>
      </c>
    </row>
    <row r="10" spans="2:8" ht="12">
      <c r="B10" s="2" t="s">
        <v>14</v>
      </c>
      <c r="C10" s="1" t="s">
        <v>15</v>
      </c>
      <c r="D10" s="6">
        <f>273*0.0012946*D8/D6</f>
        <v>0.001206231399317406</v>
      </c>
      <c r="G10" s="2" t="s">
        <v>16</v>
      </c>
      <c r="H10" s="6">
        <f>(H8-D10)*981*D10*H6^3/D12^2</f>
        <v>10778.531513749833</v>
      </c>
    </row>
    <row r="11" spans="7:8" ht="12">
      <c r="G11" s="2" t="s">
        <v>17</v>
      </c>
      <c r="H11" s="7">
        <f>-SQRT(H10/0.75)</f>
        <v>-119.88067130136719</v>
      </c>
    </row>
    <row r="12" spans="1:8" ht="12">
      <c r="A12" s="2" t="s">
        <v>5</v>
      </c>
      <c r="B12" s="2" t="s">
        <v>18</v>
      </c>
      <c r="C12" s="1" t="s">
        <v>19</v>
      </c>
      <c r="D12" s="6">
        <f>((D6/273)^1.5)*383*0.0001717/(110+D6)</f>
        <v>0.00018143517291582025</v>
      </c>
      <c r="G12" s="19" t="s">
        <v>20</v>
      </c>
      <c r="H12" s="5">
        <v>0.44</v>
      </c>
    </row>
    <row r="13" spans="1:10" ht="12">
      <c r="A13" s="1" t="s">
        <v>21</v>
      </c>
      <c r="F13" s="1" t="s">
        <v>39</v>
      </c>
      <c r="H13" s="12">
        <f>(2.33*H10^0.018-1.53*H10^-0.016)^13.3*D12/(D10*H6)</f>
        <v>367.11279383302167</v>
      </c>
      <c r="I13" s="1" t="s">
        <v>22</v>
      </c>
      <c r="J13" s="1" t="s">
        <v>38</v>
      </c>
    </row>
    <row r="14" spans="2:6" ht="12">
      <c r="B14" s="2" t="s">
        <v>23</v>
      </c>
      <c r="C14" s="8">
        <v>0.63</v>
      </c>
      <c r="E14" s="2" t="s">
        <v>24</v>
      </c>
      <c r="F14" s="8">
        <f>H12^4.14</f>
        <v>0.033411354370103466</v>
      </c>
    </row>
    <row r="15" spans="2:6" ht="12">
      <c r="B15" s="2"/>
      <c r="C15" s="8"/>
      <c r="E15" s="18" t="s">
        <v>42</v>
      </c>
      <c r="F15" s="16">
        <v>0.8</v>
      </c>
    </row>
    <row r="16" spans="5:6" ht="12">
      <c r="E16" s="17" t="s">
        <v>43</v>
      </c>
      <c r="F16" s="20">
        <f>1.28+LOG(F15)/LOG(0.85)</f>
        <v>2.653031141687804</v>
      </c>
    </row>
    <row r="17" spans="2:8" ht="12">
      <c r="B17" s="2" t="s">
        <v>25</v>
      </c>
      <c r="C17" s="8">
        <v>4.8</v>
      </c>
      <c r="E17" s="2" t="s">
        <v>26</v>
      </c>
      <c r="F17" s="8">
        <f>IF(H12&lt;=0.85,F15*H12^1.28,H12^F16)</f>
        <v>0.27971091433367506</v>
      </c>
      <c r="G17" s="2" t="s">
        <v>27</v>
      </c>
      <c r="H17" s="9">
        <f>C21*F21</f>
        <v>27.279636716803726</v>
      </c>
    </row>
    <row r="18" spans="2:8" ht="12">
      <c r="B18" s="2"/>
      <c r="C18" s="8"/>
      <c r="E18" s="2"/>
      <c r="F18" s="8"/>
      <c r="G18" s="19" t="s">
        <v>45</v>
      </c>
      <c r="H18" s="9">
        <f>H21-H19</f>
        <v>10.108721217865138</v>
      </c>
    </row>
    <row r="19" spans="2:10" ht="12">
      <c r="B19" s="2"/>
      <c r="C19" s="8"/>
      <c r="E19" s="2"/>
      <c r="F19" s="8"/>
      <c r="G19" s="2" t="s">
        <v>40</v>
      </c>
      <c r="H19" s="15">
        <v>26</v>
      </c>
      <c r="I19" t="s">
        <v>22</v>
      </c>
      <c r="J19" t="s">
        <v>44</v>
      </c>
    </row>
    <row r="21" spans="2:10" ht="12">
      <c r="B21" s="2" t="s">
        <v>28</v>
      </c>
      <c r="C21" s="6">
        <f>((SQRT(C17^2-4*C14*H11)-C17)/2/C14)^2</f>
        <v>110.27698864424632</v>
      </c>
      <c r="D21" s="2" t="s">
        <v>5</v>
      </c>
      <c r="E21" s="2" t="s">
        <v>29</v>
      </c>
      <c r="F21" s="8">
        <f>(F14+0.06*F17*C21)/(1+0.06*C21)</f>
        <v>0.2473737907806665</v>
      </c>
      <c r="G21" s="2" t="s">
        <v>40</v>
      </c>
      <c r="H21" s="13">
        <f>H12*H17*D12/H6/D10</f>
        <v>36.10872121786514</v>
      </c>
      <c r="I21" s="1" t="s">
        <v>30</v>
      </c>
      <c r="J21" t="s">
        <v>35</v>
      </c>
    </row>
    <row r="22" spans="2:10" ht="12">
      <c r="B22" s="1" t="s">
        <v>31</v>
      </c>
      <c r="C22" s="7">
        <f>1.75/H12^3</f>
        <v>20.543764087152518</v>
      </c>
      <c r="D22" s="7">
        <f>150*(1-H12)/H12^3</f>
        <v>986.1006761833211</v>
      </c>
      <c r="F22" s="1"/>
      <c r="G22" s="2" t="s">
        <v>40</v>
      </c>
      <c r="H22" s="14">
        <f>D12/H6/D10*(-D22+SQRT(D22*D22+4*C22*H10))/2/C22</f>
        <v>27.6048213940414</v>
      </c>
      <c r="I22" s="1" t="s">
        <v>30</v>
      </c>
      <c r="J22" t="s">
        <v>36</v>
      </c>
    </row>
    <row r="23" spans="1:10" ht="12">
      <c r="A23" s="1" t="s">
        <v>21</v>
      </c>
      <c r="F23" s="1"/>
      <c r="G23" s="2" t="s">
        <v>40</v>
      </c>
      <c r="H23" s="14">
        <f>D12/H6/D10*(SQRT(1135.69+0.0408*H10)-33.7)</f>
        <v>18.025691886839052</v>
      </c>
      <c r="I23" s="1" t="s">
        <v>30</v>
      </c>
      <c r="J23" t="s">
        <v>37</v>
      </c>
    </row>
    <row r="24" spans="1:8" ht="12">
      <c r="A24" s="10" t="s">
        <v>1</v>
      </c>
      <c r="B24" s="10" t="s">
        <v>1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</row>
    <row r="26" spans="1:8" ht="12">
      <c r="A26" s="1" t="s">
        <v>41</v>
      </c>
      <c r="C26" s="2" t="s">
        <v>32</v>
      </c>
      <c r="D26" s="2" t="s">
        <v>5</v>
      </c>
      <c r="G26" s="2" t="s">
        <v>6</v>
      </c>
      <c r="H26" s="1" t="s">
        <v>7</v>
      </c>
    </row>
    <row r="28" spans="7:8" ht="12">
      <c r="G28" s="2" t="s">
        <v>10</v>
      </c>
      <c r="H28" s="4">
        <v>0.0469</v>
      </c>
    </row>
    <row r="29" ht="12">
      <c r="H29" s="11"/>
    </row>
    <row r="30" spans="7:8" ht="12">
      <c r="G30" s="2" t="s">
        <v>13</v>
      </c>
      <c r="H30" s="5">
        <v>1.975</v>
      </c>
    </row>
    <row r="32" spans="2:8" ht="12">
      <c r="B32" s="2" t="s">
        <v>14</v>
      </c>
      <c r="C32" s="1" t="s">
        <v>15</v>
      </c>
      <c r="D32" s="5">
        <v>1</v>
      </c>
      <c r="G32" s="2" t="s">
        <v>33</v>
      </c>
      <c r="H32" s="6">
        <f>(H30-D32)*981*D32*H28^3/D34^2</f>
        <v>986.7159561577499</v>
      </c>
    </row>
    <row r="33" spans="7:8" ht="12">
      <c r="G33" s="2" t="s">
        <v>34</v>
      </c>
      <c r="H33" s="7">
        <f>-SQRT(H32/0.75)</f>
        <v>-36.271493970844375</v>
      </c>
    </row>
    <row r="34" spans="1:8" ht="12">
      <c r="A34" s="2" t="s">
        <v>5</v>
      </c>
      <c r="B34" s="2" t="s">
        <v>18</v>
      </c>
      <c r="C34" s="1" t="s">
        <v>19</v>
      </c>
      <c r="D34" s="5">
        <v>0.01</v>
      </c>
      <c r="G34" s="2" t="s">
        <v>20</v>
      </c>
      <c r="H34" s="5">
        <v>0.38</v>
      </c>
    </row>
    <row r="35" ht="12">
      <c r="A35" s="2" t="s">
        <v>5</v>
      </c>
    </row>
    <row r="36" spans="2:6" ht="12">
      <c r="B36" s="2" t="s">
        <v>23</v>
      </c>
      <c r="C36" s="8">
        <v>0.63</v>
      </c>
      <c r="E36" s="2" t="s">
        <v>24</v>
      </c>
      <c r="F36" s="8">
        <f>H34^4.14</f>
        <v>0.01820975446746922</v>
      </c>
    </row>
    <row r="38" spans="2:8" ht="12">
      <c r="B38" s="2" t="s">
        <v>25</v>
      </c>
      <c r="C38" s="8">
        <v>4.8</v>
      </c>
      <c r="E38" s="2" t="s">
        <v>26</v>
      </c>
      <c r="F38" s="8">
        <f>IF(H34&lt;=0.85,0.8*H34^1.28,H34^2.65)</f>
        <v>0.23185314465283346</v>
      </c>
      <c r="G38" s="2" t="s">
        <v>27</v>
      </c>
      <c r="H38" s="9">
        <f>C40*F40</f>
        <v>3.0576042738591904</v>
      </c>
    </row>
    <row r="40" spans="2:10" ht="12">
      <c r="B40" s="2" t="s">
        <v>28</v>
      </c>
      <c r="C40" s="6">
        <f>((SQRT(C38^2-4*C36*H33)-C38)/2/C36)^2</f>
        <v>21.910259792753937</v>
      </c>
      <c r="D40" s="2" t="s">
        <v>5</v>
      </c>
      <c r="E40" s="2" t="s">
        <v>29</v>
      </c>
      <c r="F40" s="8">
        <f>(F36+0.06*F38*C40)/(1+0.06*C40)</f>
        <v>0.1395512560225501</v>
      </c>
      <c r="G40" s="2" t="s">
        <v>40</v>
      </c>
      <c r="H40" s="14">
        <f>H34*H38*D34/H28/D32</f>
        <v>0.24773765971567002</v>
      </c>
      <c r="I40" s="1" t="s">
        <v>30</v>
      </c>
      <c r="J40" t="s">
        <v>35</v>
      </c>
    </row>
    <row r="41" spans="2:10" ht="12">
      <c r="B41" s="1" t="s">
        <v>31</v>
      </c>
      <c r="C41" s="7">
        <f>1.75/H34^3</f>
        <v>31.892404140545267</v>
      </c>
      <c r="D41" s="7">
        <f>150*(1-H34)/H34^3</f>
        <v>1694.8534771832628</v>
      </c>
      <c r="G41" s="2" t="s">
        <v>40</v>
      </c>
      <c r="H41" s="14">
        <f>D34/H28/D32*(-D41+SQRT(D41*D41+4*C41*H32))/2/C41</f>
        <v>0.12280208926401456</v>
      </c>
      <c r="I41" s="1" t="s">
        <v>30</v>
      </c>
      <c r="J41" t="s">
        <v>36</v>
      </c>
    </row>
    <row r="42" spans="6:10" ht="12">
      <c r="F42" s="1"/>
      <c r="G42" s="2" t="s">
        <v>40</v>
      </c>
      <c r="H42" s="14">
        <f>D34/H28/D32*(SQRT(1135.69+0.0408*H32)-33.7)</f>
        <v>0.12624698843010237</v>
      </c>
      <c r="I42" s="1" t="s">
        <v>30</v>
      </c>
      <c r="J42" t="s">
        <v>37</v>
      </c>
    </row>
    <row r="43" spans="1:8" ht="12">
      <c r="A43" s="10" t="s">
        <v>1</v>
      </c>
      <c r="B43" s="10" t="s">
        <v>1</v>
      </c>
      <c r="C43" s="10" t="s">
        <v>1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E41"/>
  <sheetViews>
    <sheetView workbookViewId="0" topLeftCell="A8">
      <selection activeCell="F26" sqref="F26"/>
    </sheetView>
  </sheetViews>
  <sheetFormatPr defaultColWidth="9.00390625" defaultRowHeight="12.75"/>
  <sheetData>
    <row r="8" spans="2:3" ht="12">
      <c r="B8" t="s">
        <v>46</v>
      </c>
      <c r="C8">
        <v>0.02</v>
      </c>
    </row>
    <row r="10" spans="2:5" ht="12">
      <c r="B10" t="s">
        <v>47</v>
      </c>
      <c r="C10" t="s">
        <v>48</v>
      </c>
      <c r="D10" t="s">
        <v>49</v>
      </c>
      <c r="E10" t="s">
        <v>50</v>
      </c>
    </row>
    <row r="11" spans="2:5" ht="12">
      <c r="B11">
        <v>0.4</v>
      </c>
      <c r="C11">
        <f aca="true" t="shared" si="0" ref="C11:C41">IF(B11&lt;=0.85,0.8*B11^1.28,B11^2.65)</f>
        <v>0.24758639476830818</v>
      </c>
      <c r="D11">
        <f>IF(B11&lt;=0.85,UMF!$F$15*B11^1.28,B11^UMF!$F$16)</f>
        <v>0.24758639476830818</v>
      </c>
      <c r="E11">
        <f aca="true" t="shared" si="1" ref="E11:E41">D11/C11</f>
        <v>1</v>
      </c>
    </row>
    <row r="12" spans="2:5" ht="12">
      <c r="B12">
        <f aca="true" t="shared" si="2" ref="B12:B41">B11+$C$8</f>
        <v>0.42000000000000004</v>
      </c>
      <c r="C12">
        <f t="shared" si="0"/>
        <v>0.26354153957586496</v>
      </c>
      <c r="D12">
        <f>IF(B12&lt;=0.85,UMF!$F$15*B12^1.28,B12^UMF!$F$16)</f>
        <v>0.26354153957586496</v>
      </c>
      <c r="E12">
        <f t="shared" si="1"/>
        <v>1</v>
      </c>
    </row>
    <row r="13" spans="2:5" ht="12">
      <c r="B13">
        <f t="shared" si="2"/>
        <v>0.44000000000000006</v>
      </c>
      <c r="C13">
        <f t="shared" si="0"/>
        <v>0.2797109143336751</v>
      </c>
      <c r="D13">
        <f>IF(B13&lt;=0.85,UMF!$F$15*B13^1.28,B13^UMF!$F$16)</f>
        <v>0.2797109143336751</v>
      </c>
      <c r="E13">
        <f t="shared" si="1"/>
        <v>1</v>
      </c>
    </row>
    <row r="14" spans="2:5" ht="12">
      <c r="B14">
        <f t="shared" si="2"/>
        <v>0.4600000000000001</v>
      </c>
      <c r="C14">
        <f t="shared" si="0"/>
        <v>0.29608745806232106</v>
      </c>
      <c r="D14">
        <f>IF(B14&lt;=0.85,UMF!$F$15*B14^1.28,B14^UMF!$F$16)</f>
        <v>0.29608745806232106</v>
      </c>
      <c r="E14">
        <f t="shared" si="1"/>
        <v>1</v>
      </c>
    </row>
    <row r="15" spans="2:5" ht="12">
      <c r="B15">
        <f t="shared" si="2"/>
        <v>0.4800000000000001</v>
      </c>
      <c r="C15">
        <f t="shared" si="0"/>
        <v>0.31266464160224877</v>
      </c>
      <c r="D15">
        <f>IF(B15&lt;=0.85,UMF!$F$15*B15^1.28,B15^UMF!$F$16)</f>
        <v>0.31266464160224877</v>
      </c>
      <c r="E15">
        <f t="shared" si="1"/>
        <v>1</v>
      </c>
    </row>
    <row r="16" spans="2:5" ht="12">
      <c r="B16">
        <f t="shared" si="2"/>
        <v>0.5000000000000001</v>
      </c>
      <c r="C16">
        <f t="shared" si="0"/>
        <v>0.32943640690702936</v>
      </c>
      <c r="D16">
        <f>IF(B16&lt;=0.85,UMF!$F$15*B16^1.28,B16^UMF!$F$16)</f>
        <v>0.32943640690702936</v>
      </c>
      <c r="E16">
        <f t="shared" si="1"/>
        <v>1</v>
      </c>
    </row>
    <row r="17" spans="2:5" ht="12">
      <c r="B17">
        <f t="shared" si="2"/>
        <v>0.5200000000000001</v>
      </c>
      <c r="C17">
        <f t="shared" si="0"/>
        <v>0.34639711543498475</v>
      </c>
      <c r="D17">
        <f>IF(B17&lt;=0.85,UMF!$F$15*B17^1.28,B17^UMF!$F$16)</f>
        <v>0.34639711543498475</v>
      </c>
      <c r="E17">
        <f t="shared" si="1"/>
        <v>1</v>
      </c>
    </row>
    <row r="18" spans="2:5" ht="12">
      <c r="B18">
        <f t="shared" si="2"/>
        <v>0.5400000000000001</v>
      </c>
      <c r="C18">
        <f t="shared" si="0"/>
        <v>0.36354150397553964</v>
      </c>
      <c r="D18">
        <f>IF(B18&lt;=0.85,UMF!$F$15*B18^1.28,B18^UMF!$F$16)</f>
        <v>0.36354150397553964</v>
      </c>
      <c r="E18">
        <f t="shared" si="1"/>
        <v>1</v>
      </c>
    </row>
    <row r="19" spans="2:5" ht="12">
      <c r="B19">
        <f t="shared" si="2"/>
        <v>0.5600000000000002</v>
      </c>
      <c r="C19">
        <f t="shared" si="0"/>
        <v>0.380864646601655</v>
      </c>
      <c r="D19">
        <f>IF(B19&lt;=0.85,UMF!$F$15*B19^1.28,B19^UMF!$F$16)</f>
        <v>0.380864646601655</v>
      </c>
      <c r="E19">
        <f t="shared" si="1"/>
        <v>1</v>
      </c>
    </row>
    <row r="20" spans="2:5" ht="12">
      <c r="B20">
        <f t="shared" si="2"/>
        <v>0.5800000000000002</v>
      </c>
      <c r="C20">
        <f t="shared" si="0"/>
        <v>0.39836192170887047</v>
      </c>
      <c r="D20">
        <f>IF(B20&lt;=0.85,UMF!$F$15*B20^1.28,B20^UMF!$F$16)</f>
        <v>0.39836192170887047</v>
      </c>
      <c r="E20">
        <f t="shared" si="1"/>
        <v>1</v>
      </c>
    </row>
    <row r="21" spans="2:5" ht="12">
      <c r="B21">
        <f t="shared" si="2"/>
        <v>0.6000000000000002</v>
      </c>
      <c r="C21">
        <f t="shared" si="0"/>
        <v>0.41602898330786475</v>
      </c>
      <c r="D21">
        <f>IF(B21&lt;=0.85,UMF!$F$15*B21^1.28,B21^UMF!$F$16)</f>
        <v>0.41602898330786475</v>
      </c>
      <c r="E21">
        <f t="shared" si="1"/>
        <v>1</v>
      </c>
    </row>
    <row r="22" spans="2:5" ht="12">
      <c r="B22">
        <f t="shared" si="2"/>
        <v>0.6200000000000002</v>
      </c>
      <c r="C22">
        <f t="shared" si="0"/>
        <v>0.43386173589727833</v>
      </c>
      <c r="D22">
        <f>IF(B22&lt;=0.85,UMF!$F$15*B22^1.28,B22^UMF!$F$16)</f>
        <v>0.43386173589727833</v>
      </c>
      <c r="E22">
        <f t="shared" si="1"/>
        <v>1</v>
      </c>
    </row>
    <row r="23" spans="2:5" ht="12">
      <c r="B23">
        <f t="shared" si="2"/>
        <v>0.6400000000000002</v>
      </c>
      <c r="C23">
        <f t="shared" si="0"/>
        <v>0.45185631236852325</v>
      </c>
      <c r="D23">
        <f>IF(B23&lt;=0.85,UMF!$F$15*B23^1.28,B23^UMF!$F$16)</f>
        <v>0.45185631236852325</v>
      </c>
      <c r="E23">
        <f t="shared" si="1"/>
        <v>1</v>
      </c>
    </row>
    <row r="24" spans="2:5" ht="12">
      <c r="B24">
        <f t="shared" si="2"/>
        <v>0.6600000000000003</v>
      </c>
      <c r="C24">
        <f t="shared" si="0"/>
        <v>0.4700090544928746</v>
      </c>
      <c r="D24">
        <f>IF(B24&lt;=0.85,UMF!$F$15*B24^1.28,B24^UMF!$F$16)</f>
        <v>0.4700090544928746</v>
      </c>
      <c r="E24">
        <f t="shared" si="1"/>
        <v>1</v>
      </c>
    </row>
    <row r="25" spans="2:5" ht="12">
      <c r="B25">
        <f t="shared" si="2"/>
        <v>0.6800000000000003</v>
      </c>
      <c r="C25">
        <f t="shared" si="0"/>
        <v>0.48831649561952206</v>
      </c>
      <c r="D25">
        <f>IF(B25&lt;=0.85,UMF!$F$15*B25^1.28,B25^UMF!$F$16)</f>
        <v>0.48831649561952206</v>
      </c>
      <c r="E25">
        <f t="shared" si="1"/>
        <v>1</v>
      </c>
    </row>
    <row r="26" spans="2:5" ht="12">
      <c r="B26">
        <f t="shared" si="2"/>
        <v>0.7000000000000003</v>
      </c>
      <c r="C26">
        <f t="shared" si="0"/>
        <v>0.5067753452760618</v>
      </c>
      <c r="D26">
        <f>IF(B26&lt;=0.85,UMF!$F$15*B26^1.28,B26^UMF!$F$16)</f>
        <v>0.5067753452760618</v>
      </c>
      <c r="E26">
        <f t="shared" si="1"/>
        <v>1</v>
      </c>
    </row>
    <row r="27" spans="2:5" ht="12">
      <c r="B27">
        <f t="shared" si="2"/>
        <v>0.7200000000000003</v>
      </c>
      <c r="C27">
        <f t="shared" si="0"/>
        <v>0.5253824754135956</v>
      </c>
      <c r="D27">
        <f>IF(B27&lt;=0.85,UMF!$F$15*B27^1.28,B27^UMF!$F$16)</f>
        <v>0.5253824754135956</v>
      </c>
      <c r="E27">
        <f t="shared" si="1"/>
        <v>1</v>
      </c>
    </row>
    <row r="28" spans="2:5" ht="12">
      <c r="B28">
        <f t="shared" si="2"/>
        <v>0.7400000000000003</v>
      </c>
      <c r="C28">
        <f t="shared" si="0"/>
        <v>0.5441349080797704</v>
      </c>
      <c r="D28">
        <f>IF(B28&lt;=0.85,UMF!$F$15*B28^1.28,B28^UMF!$F$16)</f>
        <v>0.5441349080797704</v>
      </c>
      <c r="E28">
        <f t="shared" si="1"/>
        <v>1</v>
      </c>
    </row>
    <row r="29" spans="2:5" ht="12">
      <c r="B29">
        <f t="shared" si="2"/>
        <v>0.7600000000000003</v>
      </c>
      <c r="C29">
        <f t="shared" si="0"/>
        <v>0.5630298043367508</v>
      </c>
      <c r="D29">
        <f>IF(B29&lt;=0.85,UMF!$F$15*B29^1.28,B29^UMF!$F$16)</f>
        <v>0.5630298043367508</v>
      </c>
      <c r="E29">
        <f t="shared" si="1"/>
        <v>1</v>
      </c>
    </row>
    <row r="30" spans="2:5" ht="12">
      <c r="B30">
        <f t="shared" si="2"/>
        <v>0.7800000000000004</v>
      </c>
      <c r="C30">
        <f t="shared" si="0"/>
        <v>0.582064454268795</v>
      </c>
      <c r="D30">
        <f>IF(B30&lt;=0.85,UMF!$F$15*B30^1.28,B30^UMF!$F$16)</f>
        <v>0.582064454268795</v>
      </c>
      <c r="E30">
        <f t="shared" si="1"/>
        <v>1</v>
      </c>
    </row>
    <row r="31" spans="2:5" ht="12">
      <c r="B31">
        <f t="shared" si="2"/>
        <v>0.8000000000000004</v>
      </c>
      <c r="C31">
        <f t="shared" si="0"/>
        <v>0.6012362679469851</v>
      </c>
      <c r="D31">
        <f>IF(B31&lt;=0.85,UMF!$F$15*B31^1.28,B31^UMF!$F$16)</f>
        <v>0.6012362679469851</v>
      </c>
      <c r="E31">
        <f t="shared" si="1"/>
        <v>1</v>
      </c>
    </row>
    <row r="32" spans="2:5" ht="12">
      <c r="B32">
        <f t="shared" si="2"/>
        <v>0.8200000000000004</v>
      </c>
      <c r="C32">
        <f t="shared" si="0"/>
        <v>0.6205427672376885</v>
      </c>
      <c r="D32">
        <f>IF(B32&lt;=0.85,UMF!$F$15*B32^1.28,B32^UMF!$F$16)</f>
        <v>0.6205427672376885</v>
      </c>
      <c r="E32">
        <f t="shared" si="1"/>
        <v>1</v>
      </c>
    </row>
    <row r="33" spans="2:5" ht="12">
      <c r="B33">
        <f t="shared" si="2"/>
        <v>0.8400000000000004</v>
      </c>
      <c r="C33">
        <f t="shared" si="0"/>
        <v>0.6399815783572205</v>
      </c>
      <c r="D33">
        <f>IF(B33&lt;=0.85,UMF!$F$15*B33^1.28,B33^UMF!$F$16)</f>
        <v>0.6399815783572205</v>
      </c>
      <c r="E33">
        <f t="shared" si="1"/>
        <v>1</v>
      </c>
    </row>
    <row r="34" spans="2:5" ht="12">
      <c r="B34">
        <f t="shared" si="2"/>
        <v>0.8600000000000004</v>
      </c>
      <c r="C34">
        <f t="shared" si="0"/>
        <v>0.6705341416991641</v>
      </c>
      <c r="D34">
        <f>IF(B34&lt;=0.85,UMF!$F$15*B34^1.28,B34^UMF!$F$16)</f>
        <v>0.6702276666507077</v>
      </c>
      <c r="E34">
        <f t="shared" si="1"/>
        <v>0.999542938935697</v>
      </c>
    </row>
    <row r="35" spans="2:5" ht="12">
      <c r="B35">
        <f t="shared" si="2"/>
        <v>0.8800000000000004</v>
      </c>
      <c r="C35">
        <f t="shared" si="0"/>
        <v>0.7126545810571321</v>
      </c>
      <c r="D35">
        <f>IF(B35&lt;=0.85,UMF!$F$15*B35^1.28,B35^UMF!$F$16)</f>
        <v>0.7123784943962288</v>
      </c>
      <c r="E35">
        <f t="shared" si="1"/>
        <v>0.9996125939996151</v>
      </c>
    </row>
    <row r="36" spans="2:5" ht="12">
      <c r="B36">
        <f t="shared" si="2"/>
        <v>0.9000000000000005</v>
      </c>
      <c r="C36">
        <f t="shared" si="0"/>
        <v>0.7563845512207225</v>
      </c>
      <c r="D36">
        <f>IF(B36&lt;=0.85,UMF!$F$15*B36^1.28,B36^UMF!$F$16)</f>
        <v>0.7561430288137442</v>
      </c>
      <c r="E36">
        <f t="shared" si="1"/>
        <v>0.9996806883395642</v>
      </c>
    </row>
    <row r="37" spans="2:5" ht="12">
      <c r="B37">
        <f t="shared" si="2"/>
        <v>0.9200000000000005</v>
      </c>
      <c r="C37">
        <f t="shared" si="0"/>
        <v>0.8017477364387671</v>
      </c>
      <c r="D37">
        <f>IF(B37&lt;=0.85,UMF!$F$15*B37^1.28,B37^UMF!$F$16)</f>
        <v>0.8015451271415722</v>
      </c>
      <c r="E37">
        <f t="shared" si="1"/>
        <v>0.9997472904655836</v>
      </c>
    </row>
    <row r="38" spans="2:5" ht="12">
      <c r="B38">
        <f t="shared" si="2"/>
        <v>0.9400000000000005</v>
      </c>
      <c r="C38">
        <f t="shared" si="0"/>
        <v>0.8487676374257898</v>
      </c>
      <c r="D38">
        <f>IF(B38&lt;=0.85,UMF!$F$15*B38^1.28,B38^UMF!$F$16)</f>
        <v>0.8486084633381842</v>
      </c>
      <c r="E38">
        <f t="shared" si="1"/>
        <v>0.9998124644713265</v>
      </c>
    </row>
    <row r="39" spans="2:5" ht="12">
      <c r="B39">
        <f t="shared" si="2"/>
        <v>0.9600000000000005</v>
      </c>
      <c r="C39">
        <f t="shared" si="0"/>
        <v>0.897467576729752</v>
      </c>
      <c r="D39">
        <f>IF(B39&lt;=0.85,UMF!$F$15*B39^1.28,B39^UMF!$F$16)</f>
        <v>0.8973565334306469</v>
      </c>
      <c r="E39">
        <f t="shared" si="1"/>
        <v>0.9998762704057681</v>
      </c>
    </row>
    <row r="40" spans="2:5" ht="12">
      <c r="B40">
        <f t="shared" si="2"/>
        <v>0.9800000000000005</v>
      </c>
      <c r="C40">
        <f t="shared" si="0"/>
        <v>0.9478707038322823</v>
      </c>
      <c r="D40">
        <f>IF(B40&lt;=0.85,UMF!$F$15*B40^1.28,B40^UMF!$F$16)</f>
        <v>0.9478126605968471</v>
      </c>
      <c r="E40">
        <f t="shared" si="1"/>
        <v>0.9999387646066066</v>
      </c>
    </row>
    <row r="41" spans="2:5" ht="12">
      <c r="B41">
        <f t="shared" si="2"/>
        <v>1.0000000000000004</v>
      </c>
      <c r="C41">
        <f t="shared" si="0"/>
        <v>1.000000000000001</v>
      </c>
      <c r="D41">
        <f>IF(B41&lt;=0.85,UMF!$F$15*B41^1.28,B41^UMF!$F$16)</f>
        <v>1.000000000000001</v>
      </c>
      <c r="E41">
        <f t="shared" si="1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Fluent,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Syamlal</dc:creator>
  <cp:keywords/>
  <dc:description/>
  <cp:lastModifiedBy>M. Syamlal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